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aniele\Desktop\2015-11-22\"/>
    </mc:Choice>
  </mc:AlternateContent>
  <bookViews>
    <workbookView xWindow="0" yWindow="0" windowWidth="19200" windowHeight="11190"/>
  </bookViews>
  <sheets>
    <sheet name="Foglio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E54" i="1"/>
  <c r="C54" i="1"/>
  <c r="G53" i="1"/>
  <c r="E53" i="1"/>
  <c r="C53" i="1"/>
  <c r="G52" i="1"/>
  <c r="E52" i="1"/>
  <c r="C52" i="1"/>
  <c r="G51" i="1"/>
  <c r="E51" i="1"/>
  <c r="C51" i="1"/>
  <c r="G50" i="1"/>
  <c r="E50" i="1"/>
  <c r="C50" i="1"/>
  <c r="G49" i="1"/>
  <c r="E49" i="1"/>
  <c r="C49" i="1"/>
  <c r="G48" i="1"/>
  <c r="E48" i="1"/>
  <c r="C48" i="1"/>
  <c r="G47" i="1"/>
  <c r="E47" i="1"/>
  <c r="C47" i="1"/>
  <c r="G46" i="1"/>
  <c r="E46" i="1"/>
  <c r="C46" i="1"/>
  <c r="G45" i="1"/>
  <c r="E45" i="1"/>
  <c r="C45" i="1"/>
  <c r="G44" i="1"/>
  <c r="E44" i="1"/>
  <c r="C44" i="1"/>
  <c r="G43" i="1"/>
  <c r="E43" i="1"/>
  <c r="C43" i="1"/>
  <c r="G42" i="1"/>
  <c r="E42" i="1"/>
  <c r="C42" i="1"/>
  <c r="G41" i="1"/>
  <c r="E41" i="1"/>
  <c r="C41" i="1"/>
  <c r="G40" i="1"/>
  <c r="E40" i="1"/>
  <c r="C40" i="1"/>
  <c r="G39" i="1"/>
  <c r="E39" i="1"/>
  <c r="C39" i="1"/>
  <c r="G38" i="1"/>
  <c r="E38" i="1"/>
  <c r="C38" i="1"/>
  <c r="G37" i="1"/>
  <c r="E37" i="1"/>
  <c r="C37" i="1"/>
  <c r="G36" i="1"/>
  <c r="E36" i="1"/>
  <c r="C36" i="1"/>
  <c r="G35" i="1"/>
  <c r="E35" i="1"/>
  <c r="C35" i="1"/>
  <c r="G34" i="1"/>
  <c r="E34" i="1"/>
  <c r="C34" i="1"/>
  <c r="G33" i="1"/>
  <c r="E33" i="1"/>
  <c r="C33" i="1"/>
  <c r="G32" i="1"/>
  <c r="E32" i="1"/>
  <c r="C32" i="1"/>
  <c r="G31" i="1"/>
  <c r="E31" i="1"/>
  <c r="C31" i="1"/>
  <c r="G30" i="1"/>
  <c r="E30" i="1"/>
  <c r="C30" i="1"/>
  <c r="G29" i="1"/>
  <c r="E29" i="1"/>
  <c r="C29" i="1"/>
  <c r="G28" i="1"/>
  <c r="E28" i="1"/>
  <c r="C28" i="1"/>
  <c r="G27" i="1"/>
  <c r="E27" i="1"/>
  <c r="C27" i="1"/>
  <c r="G26" i="1"/>
  <c r="E26" i="1"/>
  <c r="C26" i="1"/>
  <c r="G25" i="1"/>
  <c r="E25" i="1"/>
  <c r="C25" i="1"/>
  <c r="G24" i="1"/>
  <c r="E24" i="1"/>
  <c r="C24" i="1"/>
  <c r="G23" i="1"/>
  <c r="E23" i="1"/>
  <c r="C23" i="1"/>
  <c r="G22" i="1"/>
  <c r="E22" i="1"/>
  <c r="C22" i="1"/>
  <c r="G21" i="1"/>
  <c r="E21" i="1"/>
  <c r="C21" i="1"/>
  <c r="G20" i="1"/>
  <c r="E20" i="1"/>
  <c r="C20" i="1"/>
  <c r="G19" i="1"/>
  <c r="E19" i="1"/>
  <c r="C19" i="1"/>
  <c r="G18" i="1"/>
  <c r="E18" i="1"/>
  <c r="C18" i="1"/>
  <c r="G17" i="1"/>
  <c r="E17" i="1"/>
  <c r="C17" i="1"/>
  <c r="G16" i="1"/>
  <c r="E16" i="1"/>
  <c r="C16" i="1"/>
  <c r="G15" i="1"/>
  <c r="E15" i="1"/>
  <c r="F54" i="1"/>
  <c r="D54" i="1"/>
  <c r="B54" i="1"/>
  <c r="F53" i="1"/>
  <c r="D53" i="1"/>
  <c r="B53" i="1"/>
  <c r="F52" i="1"/>
  <c r="D52" i="1"/>
  <c r="B52" i="1"/>
  <c r="F51" i="1"/>
  <c r="D51" i="1"/>
  <c r="B51" i="1"/>
  <c r="F50" i="1"/>
  <c r="D50" i="1"/>
  <c r="B50" i="1"/>
  <c r="F49" i="1"/>
  <c r="D49" i="1"/>
  <c r="B49" i="1"/>
  <c r="F48" i="1"/>
  <c r="D48" i="1"/>
  <c r="B48" i="1"/>
  <c r="F47" i="1"/>
  <c r="D47" i="1"/>
  <c r="B47" i="1"/>
  <c r="F46" i="1"/>
  <c r="D46" i="1"/>
  <c r="B46" i="1"/>
  <c r="F45" i="1"/>
  <c r="D45" i="1"/>
  <c r="B45" i="1"/>
  <c r="F44" i="1"/>
  <c r="D44" i="1"/>
  <c r="B44" i="1"/>
  <c r="F43" i="1"/>
  <c r="D43" i="1"/>
  <c r="B43" i="1"/>
  <c r="F42" i="1"/>
  <c r="D42" i="1"/>
  <c r="B42" i="1"/>
  <c r="F41" i="1"/>
  <c r="D41" i="1"/>
  <c r="B41" i="1"/>
  <c r="F40" i="1"/>
  <c r="D40" i="1"/>
  <c r="B40" i="1"/>
  <c r="F39" i="1"/>
  <c r="D39" i="1"/>
  <c r="B39" i="1"/>
  <c r="F38" i="1"/>
  <c r="D38" i="1"/>
  <c r="B38" i="1"/>
  <c r="F37" i="1"/>
  <c r="D37" i="1"/>
  <c r="B37" i="1"/>
  <c r="F36" i="1"/>
  <c r="D36" i="1"/>
  <c r="B36" i="1"/>
  <c r="F35" i="1"/>
  <c r="D35" i="1"/>
  <c r="B35" i="1"/>
  <c r="F34" i="1"/>
  <c r="D34" i="1"/>
  <c r="B34" i="1"/>
  <c r="F33" i="1"/>
  <c r="D33" i="1"/>
  <c r="B33" i="1"/>
  <c r="F32" i="1"/>
  <c r="D32" i="1"/>
  <c r="B32" i="1"/>
  <c r="F31" i="1"/>
  <c r="D31" i="1"/>
  <c r="B31" i="1"/>
  <c r="F30" i="1"/>
  <c r="D30" i="1"/>
  <c r="B30" i="1"/>
  <c r="F29" i="1"/>
  <c r="D29" i="1"/>
  <c r="B29" i="1"/>
  <c r="F28" i="1"/>
  <c r="D28" i="1"/>
  <c r="B28" i="1"/>
  <c r="F27" i="1"/>
  <c r="D27" i="1"/>
  <c r="B27" i="1"/>
  <c r="F26" i="1"/>
  <c r="D26" i="1"/>
  <c r="B26" i="1"/>
  <c r="F25" i="1"/>
  <c r="D25" i="1"/>
  <c r="B25" i="1"/>
  <c r="F24" i="1"/>
  <c r="D24" i="1"/>
  <c r="B24" i="1"/>
  <c r="F23" i="1"/>
  <c r="D23" i="1"/>
  <c r="B23" i="1"/>
  <c r="F22" i="1"/>
  <c r="D22" i="1"/>
  <c r="B22" i="1"/>
  <c r="F21" i="1"/>
  <c r="D21" i="1"/>
  <c r="B21" i="1"/>
  <c r="F20" i="1"/>
  <c r="D20" i="1"/>
  <c r="B20" i="1"/>
  <c r="F19" i="1"/>
  <c r="D19" i="1"/>
  <c r="B19" i="1"/>
  <c r="F18" i="1"/>
  <c r="D18" i="1"/>
  <c r="B18" i="1"/>
  <c r="F17" i="1"/>
  <c r="D17" i="1"/>
  <c r="B17" i="1"/>
  <c r="F16" i="1"/>
  <c r="D16" i="1"/>
  <c r="B16" i="1"/>
  <c r="F15" i="1"/>
  <c r="D15" i="1"/>
  <c r="B15" i="1"/>
  <c r="F14" i="1"/>
  <c r="D14" i="1"/>
  <c r="B14" i="1"/>
  <c r="F13" i="1"/>
  <c r="D13" i="1"/>
  <c r="B13" i="1"/>
  <c r="F12" i="1"/>
  <c r="C15" i="1"/>
  <c r="E14" i="1"/>
  <c r="G13" i="1"/>
  <c r="C13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  <c r="G6" i="1"/>
  <c r="E6" i="1"/>
  <c r="C6" i="1"/>
  <c r="G5" i="1"/>
  <c r="E5" i="1"/>
  <c r="C5" i="1"/>
  <c r="G4" i="1"/>
  <c r="E4" i="1"/>
  <c r="C4" i="1"/>
  <c r="G3" i="1"/>
  <c r="E3" i="1"/>
  <c r="C3" i="1"/>
  <c r="G2" i="1"/>
  <c r="E2" i="1"/>
  <c r="C2" i="1"/>
  <c r="G14" i="1"/>
  <c r="C14" i="1"/>
  <c r="E13" i="1"/>
  <c r="G12" i="1"/>
  <c r="D12" i="1"/>
  <c r="B12" i="1"/>
  <c r="F11" i="1"/>
  <c r="D11" i="1"/>
  <c r="B11" i="1"/>
  <c r="F10" i="1"/>
  <c r="D10" i="1"/>
  <c r="B10" i="1"/>
  <c r="F9" i="1"/>
  <c r="D9" i="1"/>
  <c r="B9" i="1"/>
  <c r="F8" i="1"/>
  <c r="D8" i="1"/>
  <c r="B8" i="1"/>
  <c r="F7" i="1"/>
  <c r="D7" i="1"/>
  <c r="B7" i="1"/>
  <c r="F6" i="1"/>
  <c r="D6" i="1"/>
  <c r="B6" i="1"/>
  <c r="F5" i="1"/>
  <c r="D5" i="1"/>
  <c r="B5" i="1"/>
  <c r="F4" i="1"/>
  <c r="D4" i="1"/>
  <c r="B4" i="1"/>
  <c r="F3" i="1"/>
  <c r="D3" i="1"/>
  <c r="B3" i="1"/>
  <c r="F2" i="1"/>
  <c r="D2" i="1"/>
  <c r="B2" i="1"/>
</calcChain>
</file>

<file path=xl/sharedStrings.xml><?xml version="1.0" encoding="utf-8"?>
<sst xmlns="http://schemas.openxmlformats.org/spreadsheetml/2006/main" count="2" uniqueCount="2">
  <si>
    <t>Classifica generale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</si>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</sst>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&quot;:&quot;mm&quot;:&quot;ss"/>
  </numFmts>
  <fonts count="8">
    <font>
      <sz val="11"/>
      <color theme="1"/>
      <name val="Calibri"/>
      <family val="2"/>
      <scheme val="minor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Inconsolata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i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Alignment="1"/>
    <xf numFmtId="0" fontId="4" fillId="2" borderId="0" xfId="0" applyFont="1" applyFill="1"/>
    <xf numFmtId="0" fontId="5" fillId="0" borderId="0" xfId="0" applyFont="1"/>
    <xf numFmtId="0" fontId="3" fillId="0" borderId="0" xfId="0" applyFont="1"/>
    <xf numFmtId="0" fontId="6" fillId="0" borderId="0" xfId="0" applyFont="1" applyAlignment="1"/>
    <xf numFmtId="0" fontId="5" fillId="3" borderId="0" xfId="0" applyFont="1" applyFill="1"/>
    <xf numFmtId="0" fontId="7" fillId="3" borderId="0" xfId="0" applyFont="1" applyFill="1"/>
    <xf numFmtId="0" fontId="6" fillId="3" borderId="0" xfId="0" applyFont="1" applyFill="1"/>
    <xf numFmtId="164" fontId="0" fillId="3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J17" sqref="J17"/>
    </sheetView>
  </sheetViews>
  <sheetFormatPr defaultRowHeight="15"/>
  <cols>
    <col min="1" max="1" width="3" customWidth="1"/>
    <col min="2" max="3" width="15.28515625" customWidth="1"/>
    <col min="4" max="4" width="9.5703125" customWidth="1"/>
    <col min="5" max="5" width="25.85546875" customWidth="1"/>
    <col min="6" max="6" width="10.28515625" customWidth="1"/>
    <col min="7" max="7" width="10.7109375" customWidth="1"/>
    <col min="8" max="1024" width="15.28515625" customWidth="1"/>
  </cols>
  <sheetData>
    <row r="1" spans="1:7">
      <c r="A1" s="1"/>
      <c r="B1" s="2" t="s">
        <v>0</v>
      </c>
      <c r="C1" s="2"/>
      <c r="D1" s="2"/>
      <c r="E1" s="2"/>
    </row>
    <row r="2" spans="1:7">
      <c r="A2" s="3" t="s">
        <v>1</v>
      </c>
      <c r="B2" s="4" t="str">
        <f ca="1">IFERROR(__xludf.dummyfunction("QUERY(arrivo!A1:J501,""select G, H, B, I, J, E where B is not null order by E asc"", 1)"),"Cognome")</f>
        <v>Cognome</v>
      </c>
      <c r="C2" s="5" t="str">
        <f ca="1">IFERROR(__xludf.dummyfunction("""COMPUTED_VALUE"""),"Nome")</f>
        <v>Nome</v>
      </c>
      <c r="D2" s="5" t="str">
        <f ca="1">IFERROR(__xludf.dummyfunction("""COMPUTED_VALUE"""),"pettorale")</f>
        <v>pettorale</v>
      </c>
      <c r="E2" s="5" t="str">
        <f ca="1">IFERROR(__xludf.dummyfunction("""COMPUTED_VALUE"""),"Società")</f>
        <v>Società</v>
      </c>
      <c r="F2" s="6" t="str">
        <f ca="1">IFERROR(__xludf.dummyfunction("""COMPUTED_VALUE"""),"Categoria")</f>
        <v>Categoria</v>
      </c>
      <c r="G2" s="6" t="str">
        <f ca="1">IFERROR(__xludf.dummyfunction("""COMPUTED_VALUE"""),"Tempo")</f>
        <v>Tempo</v>
      </c>
    </row>
    <row r="3" spans="1:7">
      <c r="A3" s="7">
        <v>1</v>
      </c>
      <c r="B3" s="8" t="str">
        <f ca="1">IFERROR(__xludf.dummyfunction("""COMPUTED_VALUE"""),"Micheli")</f>
        <v>Micheli</v>
      </c>
      <c r="C3" s="8" t="str">
        <f ca="1">IFERROR(__xludf.dummyfunction("""COMPUTED_VALUE"""),"Filippo")</f>
        <v>Filippo</v>
      </c>
      <c r="D3" s="9">
        <f ca="1">IFERROR(__xludf.dummyfunction("""COMPUTED_VALUE"""),64)</f>
        <v>64</v>
      </c>
      <c r="E3" s="9" t="str">
        <f ca="1">IFERROR(__xludf.dummyfunction("""COMPUTED_VALUE"""),"Toscana Atletica")</f>
        <v>Toscana Atletica</v>
      </c>
      <c r="F3" s="10" t="str">
        <f ca="1">IFERROR(__xludf.dummyfunction("""COMPUTED_VALUE"""),"cat1")</f>
        <v>cat1</v>
      </c>
      <c r="G3" s="11">
        <f ca="1">IFERROR(__xludf.dummyfunction("""COMPUTED_VALUE"""),44024.0072862153)</f>
        <v>44024.007286215303</v>
      </c>
    </row>
    <row r="4" spans="1:7">
      <c r="A4" s="7">
        <v>2</v>
      </c>
      <c r="B4" s="8" t="str">
        <f ca="1">IFERROR(__xludf.dummyfunction("""COMPUTED_VALUE"""),"Mei")</f>
        <v>Mei</v>
      </c>
      <c r="C4" s="8" t="str">
        <f ca="1">IFERROR(__xludf.dummyfunction("""COMPUTED_VALUE"""),"Massimo")</f>
        <v>Massimo</v>
      </c>
      <c r="D4" s="9">
        <f ca="1">IFERROR(__xludf.dummyfunction("""COMPUTED_VALUE"""),54)</f>
        <v>54</v>
      </c>
      <c r="E4" s="9" t="str">
        <f ca="1">IFERROR(__xludf.dummyfunction("""COMPUTED_VALUE"""),"Atletica Castello")</f>
        <v>Atletica Castello</v>
      </c>
      <c r="F4" s="10" t="str">
        <f ca="1">IFERROR(__xludf.dummyfunction("""COMPUTED_VALUE"""),"cat1")</f>
        <v>cat1</v>
      </c>
      <c r="G4" s="11">
        <f ca="1">IFERROR(__xludf.dummyfunction("""COMPUTED_VALUE"""),44024.0073456944)</f>
        <v>44024.007345694401</v>
      </c>
    </row>
    <row r="5" spans="1:7">
      <c r="A5" s="7">
        <v>3</v>
      </c>
      <c r="B5" s="8" t="str">
        <f ca="1">IFERROR(__xludf.dummyfunction("""COMPUTED_VALUE"""),"Ghergut")</f>
        <v>Ghergut</v>
      </c>
      <c r="C5" s="8" t="str">
        <f ca="1">IFERROR(__xludf.dummyfunction("""COMPUTED_VALUE"""),"Emanuel Daniel")</f>
        <v>Emanuel Daniel</v>
      </c>
      <c r="D5" s="9">
        <f ca="1">IFERROR(__xludf.dummyfunction("""COMPUTED_VALUE"""),90)</f>
        <v>90</v>
      </c>
      <c r="E5" s="9" t="str">
        <f ca="1">IFERROR(__xludf.dummyfunction("""COMPUTED_VALUE"""),"A.S.D. Atletica Calenzano")</f>
        <v>A.S.D. Atletica Calenzano</v>
      </c>
      <c r="F5" s="10" t="str">
        <f ca="1">IFERROR(__xludf.dummyfunction("""COMPUTED_VALUE"""),"cat1")</f>
        <v>cat1</v>
      </c>
      <c r="G5" s="11">
        <f ca="1">IFERROR(__xludf.dummyfunction("""COMPUTED_VALUE"""),44024.0073874884)</f>
        <v>44024.007387488396</v>
      </c>
    </row>
    <row r="6" spans="1:7">
      <c r="A6" s="7">
        <v>4</v>
      </c>
      <c r="B6" s="8" t="str">
        <f ca="1">IFERROR(__xludf.dummyfunction("""COMPUTED_VALUE"""),"Casini")</f>
        <v>Casini</v>
      </c>
      <c r="C6" s="8" t="str">
        <f ca="1">IFERROR(__xludf.dummyfunction("""COMPUTED_VALUE"""),"Lorenzo ")</f>
        <v xml:space="preserve">Lorenzo </v>
      </c>
      <c r="D6" s="9">
        <f ca="1">IFERROR(__xludf.dummyfunction("""COMPUTED_VALUE"""),65)</f>
        <v>65</v>
      </c>
      <c r="E6" s="9" t="str">
        <f ca="1">IFERROR(__xludf.dummyfunction("""COMPUTED_VALUE"""),"Atletica Castello ")</f>
        <v xml:space="preserve">Atletica Castello </v>
      </c>
      <c r="F6" s="10" t="str">
        <f ca="1">IFERROR(__xludf.dummyfunction("""COMPUTED_VALUE"""),"cat1")</f>
        <v>cat1</v>
      </c>
      <c r="G6" s="11">
        <f ca="1">IFERROR(__xludf.dummyfunction("""COMPUTED_VALUE"""),44024.0074128241)</f>
        <v>44024.007412824103</v>
      </c>
    </row>
    <row r="7" spans="1:7">
      <c r="A7" s="7">
        <v>5</v>
      </c>
      <c r="B7" s="8" t="str">
        <f ca="1">IFERROR(__xludf.dummyfunction("""COMPUTED_VALUE"""),"Palchetti")</f>
        <v>Palchetti</v>
      </c>
      <c r="C7" s="8" t="str">
        <f ca="1">IFERROR(__xludf.dummyfunction("""COMPUTED_VALUE"""),"Ernesto")</f>
        <v>Ernesto</v>
      </c>
      <c r="D7" s="9">
        <f ca="1">IFERROR(__xludf.dummyfunction("""COMPUTED_VALUE"""),60)</f>
        <v>60</v>
      </c>
      <c r="E7" s="9" t="str">
        <f ca="1">IFERROR(__xludf.dummyfunction("""COMPUTED_VALUE"""),"Atletica Castello")</f>
        <v>Atletica Castello</v>
      </c>
      <c r="F7" s="10" t="str">
        <f ca="1">IFERROR(__xludf.dummyfunction("""COMPUTED_VALUE"""),"cat1")</f>
        <v>cat1</v>
      </c>
      <c r="G7" s="11">
        <f ca="1">IFERROR(__xludf.dummyfunction("""COMPUTED_VALUE"""),44024.0074666551)</f>
        <v>44024.007466655101</v>
      </c>
    </row>
    <row r="8" spans="1:7">
      <c r="A8" s="7">
        <v>6</v>
      </c>
      <c r="B8" s="8" t="str">
        <f ca="1">IFERROR(__xludf.dummyfunction("""COMPUTED_VALUE"""),"Guidotti")</f>
        <v>Guidotti</v>
      </c>
      <c r="C8" s="8" t="str">
        <f ca="1">IFERROR(__xludf.dummyfunction("""COMPUTED_VALUE"""),"Lorenzo")</f>
        <v>Lorenzo</v>
      </c>
      <c r="D8" s="9">
        <f ca="1">IFERROR(__xludf.dummyfunction("""COMPUTED_VALUE"""),89)</f>
        <v>89</v>
      </c>
      <c r="E8" s="9" t="str">
        <f ca="1">IFERROR(__xludf.dummyfunction("""COMPUTED_VALUE"""),"A.S.D. Atletica Calenzano")</f>
        <v>A.S.D. Atletica Calenzano</v>
      </c>
      <c r="F8" s="10" t="str">
        <f ca="1">IFERROR(__xludf.dummyfunction("""COMPUTED_VALUE"""),"cat1")</f>
        <v>cat1</v>
      </c>
      <c r="G8" s="11">
        <f ca="1">IFERROR(__xludf.dummyfunction("""COMPUTED_VALUE"""),44024.0079455903)</f>
        <v>44024.007945590303</v>
      </c>
    </row>
    <row r="9" spans="1:7">
      <c r="A9" s="7">
        <v>7</v>
      </c>
      <c r="B9" s="8" t="str">
        <f ca="1">IFERROR(__xludf.dummyfunction("""COMPUTED_VALUE"""),"Martelli")</f>
        <v>Martelli</v>
      </c>
      <c r="C9" s="8" t="str">
        <f ca="1">IFERROR(__xludf.dummyfunction("""COMPUTED_VALUE"""),"Leonardo")</f>
        <v>Leonardo</v>
      </c>
      <c r="D9" s="9">
        <f ca="1">IFERROR(__xludf.dummyfunction("""COMPUTED_VALUE"""),83)</f>
        <v>83</v>
      </c>
      <c r="E9" s="9" t="str">
        <f ca="1">IFERROR(__xludf.dummyfunction("""COMPUTED_VALUE"""),"G.S. Il Fiorino")</f>
        <v>G.S. Il Fiorino</v>
      </c>
      <c r="F9" s="10" t="str">
        <f ca="1">IFERROR(__xludf.dummyfunction("""COMPUTED_VALUE"""),"cat1")</f>
        <v>cat1</v>
      </c>
      <c r="G9" s="11">
        <f ca="1">IFERROR(__xludf.dummyfunction("""COMPUTED_VALUE"""),44024.0080263542)</f>
        <v>44024.008026354197</v>
      </c>
    </row>
    <row r="10" spans="1:7">
      <c r="A10" s="7">
        <v>8</v>
      </c>
      <c r="B10" s="8" t="str">
        <f ca="1">IFERROR(__xludf.dummyfunction("""COMPUTED_VALUE"""),"Picchi")</f>
        <v>Picchi</v>
      </c>
      <c r="C10" s="8" t="str">
        <f ca="1">IFERROR(__xludf.dummyfunction("""COMPUTED_VALUE"""),"Yuri")</f>
        <v>Yuri</v>
      </c>
      <c r="D10" s="9">
        <f ca="1">IFERROR(__xludf.dummyfunction("""COMPUTED_VALUE"""),32)</f>
        <v>32</v>
      </c>
      <c r="E10" s="9" t="str">
        <f ca="1">IFERROR(__xludf.dummyfunction("""COMPUTED_VALUE"""),"atl. vinci")</f>
        <v>atl. vinci</v>
      </c>
      <c r="F10" s="10" t="str">
        <f ca="1">IFERROR(__xludf.dummyfunction("""COMPUTED_VALUE"""),"cat1")</f>
        <v>cat1</v>
      </c>
      <c r="G10" s="11">
        <f ca="1">IFERROR(__xludf.dummyfunction("""COMPUTED_VALUE"""),44024.0080849884)</f>
        <v>44024.008084988403</v>
      </c>
    </row>
    <row r="11" spans="1:7">
      <c r="A11" s="7">
        <v>9</v>
      </c>
      <c r="B11" s="8" t="str">
        <f ca="1">IFERROR(__xludf.dummyfunction("""COMPUTED_VALUE"""),"Michelini ")</f>
        <v xml:space="preserve">Michelini </v>
      </c>
      <c r="C11" s="8" t="str">
        <f ca="1">IFERROR(__xludf.dummyfunction("""COMPUTED_VALUE"""),"Daniele ")</f>
        <v xml:space="preserve">Daniele </v>
      </c>
      <c r="D11" s="9">
        <f ca="1">IFERROR(__xludf.dummyfunction("""COMPUTED_VALUE"""),45)</f>
        <v>45</v>
      </c>
      <c r="E11" s="9" t="str">
        <f ca="1">IFERROR(__xludf.dummyfunction("""COMPUTED_VALUE"""),"Atletica Castello")</f>
        <v>Atletica Castello</v>
      </c>
      <c r="F11" s="10" t="str">
        <f ca="1">IFERROR(__xludf.dummyfunction("""COMPUTED_VALUE"""),"cat1")</f>
        <v>cat1</v>
      </c>
      <c r="G11" s="11">
        <f ca="1">IFERROR(__xludf.dummyfunction("""COMPUTED_VALUE"""),44024.0081135301)</f>
        <v>44024.008113530101</v>
      </c>
    </row>
    <row r="12" spans="1:7">
      <c r="A12" s="7">
        <v>10</v>
      </c>
      <c r="B12" s="8" t="str">
        <f ca="1">IFERROR(__xludf.dummyfunction("""COMPUTED_VALUE"""),"Renieri")</f>
        <v>Renieri</v>
      </c>
      <c r="C12" s="8" t="str">
        <f ca="1">IFERROR(__xludf.dummyfunction("""COMPUTED_VALUE"""),"Simone")</f>
        <v>Simone</v>
      </c>
      <c r="D12" s="9">
        <f ca="1">IFERROR(__xludf.dummyfunction("""COMPUTED_VALUE"""),75)</f>
        <v>75</v>
      </c>
      <c r="E12" s="9" t="str">
        <f ca="1">IFERROR(__xludf.dummyfunction("""COMPUTED_VALUE"""),"Le Panche di Castelquarto")</f>
        <v>Le Panche di Castelquarto</v>
      </c>
      <c r="F12" s="10" t="str">
        <f ca="1">IFERROR(__xludf.dummyfunction("""COMPUTED_VALUE"""),"cat1")</f>
        <v>cat1</v>
      </c>
      <c r="G12" s="11">
        <f ca="1">IFERROR(__xludf.dummyfunction("""COMPUTED_VALUE"""),44024.0082977662)</f>
        <v>44024.008297766202</v>
      </c>
    </row>
    <row r="13" spans="1:7">
      <c r="A13" s="7">
        <v>11</v>
      </c>
      <c r="B13" s="8" t="str">
        <f ca="1">IFERROR(__xludf.dummyfunction("""COMPUTED_VALUE"""),"Zanieri")</f>
        <v>Zanieri</v>
      </c>
      <c r="C13" s="8" t="str">
        <f ca="1">IFERROR(__xludf.dummyfunction("""COMPUTED_VALUE"""),"Pietro")</f>
        <v>Pietro</v>
      </c>
      <c r="D13" s="9">
        <f ca="1">IFERROR(__xludf.dummyfunction("""COMPUTED_VALUE"""),57)</f>
        <v>57</v>
      </c>
      <c r="E13" s="9" t="str">
        <f ca="1">IFERROR(__xludf.dummyfunction("""COMPUTED_VALUE"""),"Toscana Atletica Futura")</f>
        <v>Toscana Atletica Futura</v>
      </c>
      <c r="F13" s="10" t="str">
        <f ca="1">IFERROR(__xludf.dummyfunction("""COMPUTED_VALUE"""),"cat1")</f>
        <v>cat1</v>
      </c>
      <c r="G13" s="11">
        <f ca="1">IFERROR(__xludf.dummyfunction("""COMPUTED_VALUE"""),44024.0083096991)</f>
        <v>44024.0083096991</v>
      </c>
    </row>
    <row r="14" spans="1:7">
      <c r="A14" s="7">
        <v>12</v>
      </c>
      <c r="B14" s="8" t="str">
        <f ca="1">IFERROR(__xludf.dummyfunction("""COMPUTED_VALUE"""),"Basagni ")</f>
        <v xml:space="preserve">Basagni </v>
      </c>
      <c r="C14" s="8" t="str">
        <f ca="1">IFERROR(__xludf.dummyfunction("""COMPUTED_VALUE"""),"Marco")</f>
        <v>Marco</v>
      </c>
      <c r="D14" s="9">
        <f ca="1">IFERROR(__xludf.dummyfunction("""COMPUTED_VALUE"""),43)</f>
        <v>43</v>
      </c>
      <c r="E14" s="9" t="str">
        <f ca="1">IFERROR(__xludf.dummyfunction("""COMPUTED_VALUE"""),"Atletica calenzano")</f>
        <v>Atletica calenzano</v>
      </c>
      <c r="F14" s="10" t="str">
        <f ca="1">IFERROR(__xludf.dummyfunction("""COMPUTED_VALUE"""),"cat1")</f>
        <v>cat1</v>
      </c>
      <c r="G14" s="11">
        <f ca="1">IFERROR(__xludf.dummyfunction("""COMPUTED_VALUE"""),44024.008346794)</f>
        <v>44024.008346793998</v>
      </c>
    </row>
    <row r="15" spans="1:7">
      <c r="A15" s="7">
        <v>13</v>
      </c>
      <c r="B15" s="8" t="str">
        <f ca="1">IFERROR(__xludf.dummyfunction("""COMPUTED_VALUE"""),"Settino")</f>
        <v>Settino</v>
      </c>
      <c r="C15" s="8" t="str">
        <f ca="1">IFERROR(__xludf.dummyfunction("""COMPUTED_VALUE"""),"Greta")</f>
        <v>Greta</v>
      </c>
      <c r="D15" s="9">
        <f ca="1">IFERROR(__xludf.dummyfunction("""COMPUTED_VALUE"""),25)</f>
        <v>25</v>
      </c>
      <c r="E15" s="9" t="str">
        <f ca="1">IFERROR(__xludf.dummyfunction("""COMPUTED_VALUE"""),"Toscana Atletica Empoli Nissan")</f>
        <v>Toscana Atletica Empoli Nissan</v>
      </c>
      <c r="F15" s="10" t="str">
        <f ca="1">IFERROR(__xludf.dummyfunction("""COMPUTED_VALUE"""),"cat4")</f>
        <v>cat4</v>
      </c>
      <c r="G15" s="11">
        <f ca="1">IFERROR(__xludf.dummyfunction("""COMPUTED_VALUE"""),44024.0083492593)</f>
        <v>44024.008349259297</v>
      </c>
    </row>
    <row r="16" spans="1:7">
      <c r="A16" s="7">
        <v>14</v>
      </c>
      <c r="B16" s="8" t="str">
        <f ca="1">IFERROR(__xludf.dummyfunction("""COMPUTED_VALUE"""),"Masoni")</f>
        <v>Masoni</v>
      </c>
      <c r="C16" s="8" t="str">
        <f ca="1">IFERROR(__xludf.dummyfunction("""COMPUTED_VALUE"""),"Matteo")</f>
        <v>Matteo</v>
      </c>
      <c r="D16" s="9">
        <f ca="1">IFERROR(__xludf.dummyfunction("""COMPUTED_VALUE"""),79)</f>
        <v>79</v>
      </c>
      <c r="E16" s="9" t="str">
        <f ca="1">IFERROR(__xludf.dummyfunction("""COMPUTED_VALUE"""),"ATLETICA CASTELLO FIRENZE ")</f>
        <v xml:space="preserve">ATLETICA CASTELLO FIRENZE </v>
      </c>
      <c r="F16" s="10" t="str">
        <f ca="1">IFERROR(__xludf.dummyfunction("""COMPUTED_VALUE"""),"cat2")</f>
        <v>cat2</v>
      </c>
      <c r="G16" s="11">
        <f ca="1">IFERROR(__xludf.dummyfunction("""COMPUTED_VALUE"""),44024.0083665278)</f>
        <v>44024.0083665278</v>
      </c>
    </row>
    <row r="17" spans="1:7">
      <c r="A17" s="7">
        <v>15</v>
      </c>
      <c r="B17" s="8" t="str">
        <f ca="1">IFERROR(__xludf.dummyfunction("""COMPUTED_VALUE"""),"Papi")</f>
        <v>Papi</v>
      </c>
      <c r="C17" s="8" t="str">
        <f ca="1">IFERROR(__xludf.dummyfunction("""COMPUTED_VALUE"""),"Emanuele")</f>
        <v>Emanuele</v>
      </c>
      <c r="D17" s="9">
        <f ca="1">IFERROR(__xludf.dummyfunction("""COMPUTED_VALUE"""),86)</f>
        <v>86</v>
      </c>
      <c r="E17" s="9" t="str">
        <f ca="1">IFERROR(__xludf.dummyfunction("""COMPUTED_VALUE"""),"A.S.D Atletica Calenzano")</f>
        <v>A.S.D Atletica Calenzano</v>
      </c>
      <c r="F17" s="10" t="str">
        <f ca="1">IFERROR(__xludf.dummyfunction("""COMPUTED_VALUE"""),"cat1")</f>
        <v>cat1</v>
      </c>
      <c r="G17" s="11">
        <f ca="1">IFERROR(__xludf.dummyfunction("""COMPUTED_VALUE"""),44024.0083925695)</f>
        <v>44024.0083925695</v>
      </c>
    </row>
    <row r="18" spans="1:7">
      <c r="A18" s="7">
        <v>16</v>
      </c>
      <c r="B18" s="8" t="str">
        <f ca="1">IFERROR(__xludf.dummyfunction("""COMPUTED_VALUE"""),"Mohamud")</f>
        <v>Mohamud</v>
      </c>
      <c r="C18" s="8" t="str">
        <f ca="1">IFERROR(__xludf.dummyfunction("""COMPUTED_VALUE"""),"Hodan")</f>
        <v>Hodan</v>
      </c>
      <c r="D18" s="9">
        <f ca="1">IFERROR(__xludf.dummyfunction("""COMPUTED_VALUE"""),26)</f>
        <v>26</v>
      </c>
      <c r="E18" s="9" t="str">
        <f ca="1">IFERROR(__xludf.dummyfunction("""COMPUTED_VALUE"""),"Radio Centro Web")</f>
        <v>Radio Centro Web</v>
      </c>
      <c r="F18" s="10" t="str">
        <f ca="1">IFERROR(__xludf.dummyfunction("""COMPUTED_VALUE"""),"cat4")</f>
        <v>cat4</v>
      </c>
      <c r="G18" s="11">
        <f ca="1">IFERROR(__xludf.dummyfunction("""COMPUTED_VALUE"""),44024.0084150347)</f>
        <v>44024.008415034703</v>
      </c>
    </row>
    <row r="19" spans="1:7">
      <c r="A19" s="7">
        <v>17</v>
      </c>
      <c r="B19" s="8" t="str">
        <f ca="1">IFERROR(__xludf.dummyfunction("""COMPUTED_VALUE"""),"Menchetti")</f>
        <v>Menchetti</v>
      </c>
      <c r="C19" s="8" t="str">
        <f ca="1">IFERROR(__xludf.dummyfunction("""COMPUTED_VALUE"""),"Lorenzo")</f>
        <v>Lorenzo</v>
      </c>
      <c r="D19" s="9">
        <f ca="1">IFERROR(__xludf.dummyfunction("""COMPUTED_VALUE"""),69)</f>
        <v>69</v>
      </c>
      <c r="E19" s="9" t="str">
        <f ca="1">IFERROR(__xludf.dummyfunction("""COMPUTED_VALUE"""),"Isolotto APD")</f>
        <v>Isolotto APD</v>
      </c>
      <c r="F19" s="10" t="str">
        <f ca="1">IFERROR(__xludf.dummyfunction("""COMPUTED_VALUE"""),"cat1")</f>
        <v>cat1</v>
      </c>
      <c r="G19" s="11">
        <f ca="1">IFERROR(__xludf.dummyfunction("""COMPUTED_VALUE"""),44024.0084228241)</f>
        <v>44024.008422824103</v>
      </c>
    </row>
    <row r="20" spans="1:7">
      <c r="A20" s="7">
        <v>18</v>
      </c>
      <c r="B20" s="8" t="str">
        <f ca="1">IFERROR(__xludf.dummyfunction("""COMPUTED_VALUE"""),"Ferretti")</f>
        <v>Ferretti</v>
      </c>
      <c r="C20" s="8" t="str">
        <f ca="1">IFERROR(__xludf.dummyfunction("""COMPUTED_VALUE"""),"Caterina")</f>
        <v>Caterina</v>
      </c>
      <c r="D20" s="9">
        <f ca="1">IFERROR(__xludf.dummyfunction("""COMPUTED_VALUE"""),29)</f>
        <v>29</v>
      </c>
      <c r="E20" s="9" t="str">
        <f ca="1">IFERROR(__xludf.dummyfunction("""COMPUTED_VALUE"""),"Toscana Atletica Empoli Nissan")</f>
        <v>Toscana Atletica Empoli Nissan</v>
      </c>
      <c r="F20" s="10" t="str">
        <f ca="1">IFERROR(__xludf.dummyfunction("""COMPUTED_VALUE"""),"cat4")</f>
        <v>cat4</v>
      </c>
      <c r="G20" s="11">
        <f ca="1">IFERROR(__xludf.dummyfunction("""COMPUTED_VALUE"""),44024.0084437963)</f>
        <v>44024.008443796301</v>
      </c>
    </row>
    <row r="21" spans="1:7">
      <c r="A21" s="7">
        <v>19</v>
      </c>
      <c r="B21" s="8" t="str">
        <f ca="1">IFERROR(__xludf.dummyfunction("""COMPUTED_VALUE"""),"Bacciottini")</f>
        <v>Bacciottini</v>
      </c>
      <c r="C21" s="8" t="str">
        <f ca="1">IFERROR(__xludf.dummyfunction("""COMPUTED_VALUE"""),"Francesco")</f>
        <v>Francesco</v>
      </c>
      <c r="D21" s="9">
        <f ca="1">IFERROR(__xludf.dummyfunction("""COMPUTED_VALUE"""),74)</f>
        <v>74</v>
      </c>
      <c r="E21" s="9" t="str">
        <f ca="1">IFERROR(__xludf.dummyfunction("""COMPUTED_VALUE"""),"US Nave")</f>
        <v>US Nave</v>
      </c>
      <c r="F21" s="10" t="str">
        <f ca="1">IFERROR(__xludf.dummyfunction("""COMPUTED_VALUE"""),"cat1")</f>
        <v>cat1</v>
      </c>
      <c r="G21" s="11">
        <f ca="1">IFERROR(__xludf.dummyfunction("""COMPUTED_VALUE"""),44024.0084622569)</f>
        <v>44024.008462256897</v>
      </c>
    </row>
    <row r="22" spans="1:7">
      <c r="A22" s="7">
        <v>20</v>
      </c>
      <c r="B22" s="8" t="str">
        <f ca="1">IFERROR(__xludf.dummyfunction("""COMPUTED_VALUE"""),"Marrocchi")</f>
        <v>Marrocchi</v>
      </c>
      <c r="C22" s="8" t="str">
        <f ca="1">IFERROR(__xludf.dummyfunction("""COMPUTED_VALUE"""),"Andrea ")</f>
        <v xml:space="preserve">Andrea </v>
      </c>
      <c r="D22" s="9">
        <f ca="1">IFERROR(__xludf.dummyfunction("""COMPUTED_VALUE"""),87)</f>
        <v>87</v>
      </c>
      <c r="E22" s="9" t="str">
        <f ca="1">IFERROR(__xludf.dummyfunction("""COMPUTED_VALUE"""),"A.S.D Atletica Calenzano")</f>
        <v>A.S.D Atletica Calenzano</v>
      </c>
      <c r="F22" s="10" t="str">
        <f ca="1">IFERROR(__xludf.dummyfunction("""COMPUTED_VALUE"""),"cat1")</f>
        <v>cat1</v>
      </c>
      <c r="G22" s="11">
        <f ca="1">IFERROR(__xludf.dummyfunction("""COMPUTED_VALUE"""),44024.00856875)</f>
        <v>44024.008568750003</v>
      </c>
    </row>
    <row r="23" spans="1:7">
      <c r="A23" s="7">
        <v>21</v>
      </c>
      <c r="B23" s="8" t="str">
        <f ca="1">IFERROR(__xludf.dummyfunction("""COMPUTED_VALUE"""),"Sequi")</f>
        <v>Sequi</v>
      </c>
      <c r="C23" s="8" t="str">
        <f ca="1">IFERROR(__xludf.dummyfunction("""COMPUTED_VALUE"""),"Daniele")</f>
        <v>Daniele</v>
      </c>
      <c r="D23" s="9">
        <f ca="1">IFERROR(__xludf.dummyfunction("""COMPUTED_VALUE"""),62)</f>
        <v>62</v>
      </c>
      <c r="E23" s="9" t="str">
        <f ca="1">IFERROR(__xludf.dummyfunction("""COMPUTED_VALUE"""),"Atletica castello")</f>
        <v>Atletica castello</v>
      </c>
      <c r="F23" s="10" t="str">
        <f ca="1">IFERROR(__xludf.dummyfunction("""COMPUTED_VALUE"""),"cat2")</f>
        <v>cat2</v>
      </c>
      <c r="G23" s="11">
        <f ca="1">IFERROR(__xludf.dummyfunction("""COMPUTED_VALUE"""),44024.0090340857)</f>
        <v>44024.009034085699</v>
      </c>
    </row>
    <row r="24" spans="1:7">
      <c r="A24" s="7">
        <v>22</v>
      </c>
      <c r="B24" s="8" t="str">
        <f ca="1">IFERROR(__xludf.dummyfunction("""COMPUTED_VALUE"""),"Nocentini")</f>
        <v>Nocentini</v>
      </c>
      <c r="C24" s="8" t="str">
        <f ca="1">IFERROR(__xludf.dummyfunction("""COMPUTED_VALUE"""),"Linda")</f>
        <v>Linda</v>
      </c>
      <c r="D24" s="9">
        <f ca="1">IFERROR(__xludf.dummyfunction("""COMPUTED_VALUE"""),53)</f>
        <v>53</v>
      </c>
      <c r="E24" s="9" t="str">
        <f ca="1">IFERROR(__xludf.dummyfunction("""COMPUTED_VALUE"""),"Atletica Castello")</f>
        <v>Atletica Castello</v>
      </c>
      <c r="F24" s="10" t="str">
        <f ca="1">IFERROR(__xludf.dummyfunction("""COMPUTED_VALUE"""),"cat4")</f>
        <v>cat4</v>
      </c>
      <c r="G24" s="11">
        <f ca="1">IFERROR(__xludf.dummyfunction("""COMPUTED_VALUE"""),44024.0091517361)</f>
        <v>44024.0091517361</v>
      </c>
    </row>
    <row r="25" spans="1:7">
      <c r="A25" s="7">
        <v>23</v>
      </c>
      <c r="B25" s="8" t="str">
        <f ca="1">IFERROR(__xludf.dummyfunction("""COMPUTED_VALUE"""),"Vitone ")</f>
        <v xml:space="preserve">Vitone </v>
      </c>
      <c r="C25" s="8" t="str">
        <f ca="1">IFERROR(__xludf.dummyfunction("""COMPUTED_VALUE"""),"Maria Concetta ")</f>
        <v xml:space="preserve">Maria Concetta </v>
      </c>
      <c r="D25" s="9">
        <f ca="1">IFERROR(__xludf.dummyfunction("""COMPUTED_VALUE"""),84)</f>
        <v>84</v>
      </c>
      <c r="E25" s="9" t="str">
        <f ca="1">IFERROR(__xludf.dummyfunction("""COMPUTED_VALUE"""),"Assi giglio rosso")</f>
        <v>Assi giglio rosso</v>
      </c>
      <c r="F25" s="10" t="str">
        <f ca="1">IFERROR(__xludf.dummyfunction("""COMPUTED_VALUE"""),"cat4")</f>
        <v>cat4</v>
      </c>
      <c r="G25" s="11">
        <f ca="1">IFERROR(__xludf.dummyfunction("""COMPUTED_VALUE"""),44024.0091693287)</f>
        <v>44024.009169328703</v>
      </c>
    </row>
    <row r="26" spans="1:7">
      <c r="A26" s="7">
        <v>24</v>
      </c>
      <c r="B26" s="8" t="str">
        <f ca="1">IFERROR(__xludf.dummyfunction("""COMPUTED_VALUE"""),"Olivari")</f>
        <v>Olivari</v>
      </c>
      <c r="C26" s="8" t="str">
        <f ca="1">IFERROR(__xludf.dummyfunction("""COMPUTED_VALUE"""),"Franco")</f>
        <v>Franco</v>
      </c>
      <c r="D26" s="9">
        <f ca="1">IFERROR(__xludf.dummyfunction("""COMPUTED_VALUE"""),94)</f>
        <v>94</v>
      </c>
      <c r="E26" s="9" t="str">
        <f ca="1">IFERROR(__xludf.dummyfunction("""COMPUTED_VALUE"""),"G.s. orecchiella garfagnana")</f>
        <v>G.s. orecchiella garfagnana</v>
      </c>
      <c r="F26" s="10" t="str">
        <f ca="1">IFERROR(__xludf.dummyfunction("""COMPUTED_VALUE"""),"cat3")</f>
        <v>cat3</v>
      </c>
      <c r="G26" s="11">
        <f ca="1">IFERROR(__xludf.dummyfunction("""COMPUTED_VALUE"""),44024.0093679745)</f>
        <v>44024.009367974497</v>
      </c>
    </row>
    <row r="27" spans="1:7">
      <c r="A27" s="7">
        <v>25</v>
      </c>
      <c r="B27" s="8" t="str">
        <f ca="1">IFERROR(__xludf.dummyfunction("""COMPUTED_VALUE"""),"Gonzales Maravi")</f>
        <v>Gonzales Maravi</v>
      </c>
      <c r="C27" s="8" t="str">
        <f ca="1">IFERROR(__xludf.dummyfunction("""COMPUTED_VALUE"""),"Jhouw Lee")</f>
        <v>Jhouw Lee</v>
      </c>
      <c r="D27" s="9">
        <f ca="1">IFERROR(__xludf.dummyfunction("""COMPUTED_VALUE"""),52)</f>
        <v>52</v>
      </c>
      <c r="E27" s="9" t="str">
        <f ca="1">IFERROR(__xludf.dummyfunction("""COMPUTED_VALUE"""),"Atletica Castello")</f>
        <v>Atletica Castello</v>
      </c>
      <c r="F27" s="10" t="str">
        <f ca="1">IFERROR(__xludf.dummyfunction("""COMPUTED_VALUE"""),"cat1")</f>
        <v>cat1</v>
      </c>
      <c r="G27" s="11">
        <f ca="1">IFERROR(__xludf.dummyfunction("""COMPUTED_VALUE"""),44024.0094598727)</f>
        <v>44024.009459872701</v>
      </c>
    </row>
    <row r="28" spans="1:7">
      <c r="A28" s="7">
        <v>26</v>
      </c>
      <c r="B28" s="8" t="str">
        <f ca="1">IFERROR(__xludf.dummyfunction("""COMPUTED_VALUE"""),"Mei")</f>
        <v>Mei</v>
      </c>
      <c r="C28" s="8" t="str">
        <f ca="1">IFERROR(__xludf.dummyfunction("""COMPUTED_VALUE"""),"Roberto")</f>
        <v>Roberto</v>
      </c>
      <c r="D28" s="9">
        <f ca="1">IFERROR(__xludf.dummyfunction("""COMPUTED_VALUE"""),55)</f>
        <v>55</v>
      </c>
      <c r="E28" s="9" t="str">
        <f ca="1">IFERROR(__xludf.dummyfunction("""COMPUTED_VALUE"""),"A.s.c.d. Silvano Fedi")</f>
        <v>A.s.c.d. Silvano Fedi</v>
      </c>
      <c r="F28" s="10" t="str">
        <f ca="1">IFERROR(__xludf.dummyfunction("""COMPUTED_VALUE"""),"cat3")</f>
        <v>cat3</v>
      </c>
      <c r="G28" s="11">
        <f ca="1">IFERROR(__xludf.dummyfunction("""COMPUTED_VALUE"""),44024.0095020486)</f>
        <v>44024.009502048597</v>
      </c>
    </row>
    <row r="29" spans="1:7">
      <c r="A29" s="7">
        <v>27</v>
      </c>
      <c r="B29" s="8" t="str">
        <f ca="1">IFERROR(__xludf.dummyfunction("""COMPUTED_VALUE"""),"Favilli")</f>
        <v>Favilli</v>
      </c>
      <c r="C29" s="8" t="str">
        <f ca="1">IFERROR(__xludf.dummyfunction("""COMPUTED_VALUE"""),"Lorenzo")</f>
        <v>Lorenzo</v>
      </c>
      <c r="D29" s="9">
        <f ca="1">IFERROR(__xludf.dummyfunction("""COMPUTED_VALUE"""),92)</f>
        <v>92</v>
      </c>
      <c r="E29" s="9" t="str">
        <f ca="1">IFERROR(__xludf.dummyfunction("""COMPUTED_VALUE"""),"Atl. Fucecchio")</f>
        <v>Atl. Fucecchio</v>
      </c>
      <c r="F29" s="10" t="str">
        <f ca="1">IFERROR(__xludf.dummyfunction("""COMPUTED_VALUE"""),"cat1")</f>
        <v>cat1</v>
      </c>
      <c r="G29" s="11">
        <f ca="1">IFERROR(__xludf.dummyfunction("""COMPUTED_VALUE"""),44024.0095153125)</f>
        <v>44024.0095153125</v>
      </c>
    </row>
    <row r="30" spans="1:7">
      <c r="A30" s="7">
        <v>28</v>
      </c>
      <c r="B30" s="8" t="str">
        <f ca="1">IFERROR(__xludf.dummyfunction("""COMPUTED_VALUE"""),"Pagliazzi")</f>
        <v>Pagliazzi</v>
      </c>
      <c r="C30" s="8" t="str">
        <f ca="1">IFERROR(__xludf.dummyfunction("""COMPUTED_VALUE"""),"Andrea")</f>
        <v>Andrea</v>
      </c>
      <c r="D30" s="9">
        <f ca="1">IFERROR(__xludf.dummyfunction("""COMPUTED_VALUE"""),31)</f>
        <v>31</v>
      </c>
      <c r="E30" s="9" t="str">
        <f ca="1">IFERROR(__xludf.dummyfunction("""COMPUTED_VALUE"""),"Atletica Castello")</f>
        <v>Atletica Castello</v>
      </c>
      <c r="F30" s="10" t="str">
        <f ca="1">IFERROR(__xludf.dummyfunction("""COMPUTED_VALUE"""),"cat1")</f>
        <v>cat1</v>
      </c>
      <c r="G30" s="11">
        <f ca="1">IFERROR(__xludf.dummyfunction("""COMPUTED_VALUE"""),44024.0095860648)</f>
        <v>44024.0095860648</v>
      </c>
    </row>
    <row r="31" spans="1:7">
      <c r="A31" s="7">
        <v>29</v>
      </c>
      <c r="B31" s="8" t="str">
        <f ca="1">IFERROR(__xludf.dummyfunction("""COMPUTED_VALUE"""),"Contini")</f>
        <v>Contini</v>
      </c>
      <c r="C31" s="8" t="str">
        <f ca="1">IFERROR(__xludf.dummyfunction("""COMPUTED_VALUE"""),"Maurizio ")</f>
        <v xml:space="preserve">Maurizio </v>
      </c>
      <c r="D31" s="9">
        <f ca="1">IFERROR(__xludf.dummyfunction("""COMPUTED_VALUE"""),37)</f>
        <v>37</v>
      </c>
      <c r="E31" s="9" t="str">
        <f ca="1">IFERROR(__xludf.dummyfunction("""COMPUTED_VALUE"""),"La Fontanina ")</f>
        <v xml:space="preserve">La Fontanina </v>
      </c>
      <c r="F31" s="10" t="str">
        <f ca="1">IFERROR(__xludf.dummyfunction("""COMPUTED_VALUE"""),"cat2")</f>
        <v>cat2</v>
      </c>
      <c r="G31" s="11">
        <f ca="1">IFERROR(__xludf.dummyfunction("""COMPUTED_VALUE"""),44024.009695787)</f>
        <v>44024.009695786997</v>
      </c>
    </row>
    <row r="32" spans="1:7">
      <c r="A32" s="7">
        <v>30</v>
      </c>
      <c r="B32" s="8" t="str">
        <f ca="1">IFERROR(__xludf.dummyfunction("""COMPUTED_VALUE"""),"Del Bravo")</f>
        <v>Del Bravo</v>
      </c>
      <c r="C32" s="8" t="str">
        <f ca="1">IFERROR(__xludf.dummyfunction("""COMPUTED_VALUE"""),"Costanza")</f>
        <v>Costanza</v>
      </c>
      <c r="D32" s="9">
        <f ca="1">IFERROR(__xludf.dummyfunction("""COMPUTED_VALUE"""),71)</f>
        <v>71</v>
      </c>
      <c r="E32" s="9" t="str">
        <f ca="1">IFERROR(__xludf.dummyfunction("""COMPUTED_VALUE"""),"Atletica Castello")</f>
        <v>Atletica Castello</v>
      </c>
      <c r="F32" s="10" t="str">
        <f ca="1">IFERROR(__xludf.dummyfunction("""COMPUTED_VALUE"""),"cat4")</f>
        <v>cat4</v>
      </c>
      <c r="G32" s="11">
        <f ca="1">IFERROR(__xludf.dummyfunction("""COMPUTED_VALUE"""),44024.0098003241)</f>
        <v>44024.0098003241</v>
      </c>
    </row>
    <row r="33" spans="1:7">
      <c r="A33" s="7">
        <v>31</v>
      </c>
      <c r="B33" s="8" t="str">
        <f ca="1">IFERROR(__xludf.dummyfunction("""COMPUTED_VALUE"""),"Cozzi")</f>
        <v>Cozzi</v>
      </c>
      <c r="C33" s="8" t="str">
        <f ca="1">IFERROR(__xludf.dummyfunction("""COMPUTED_VALUE"""),"Alessandra")</f>
        <v>Alessandra</v>
      </c>
      <c r="D33" s="9">
        <f ca="1">IFERROR(__xludf.dummyfunction("""COMPUTED_VALUE"""),78)</f>
        <v>78</v>
      </c>
      <c r="E33" s="9" t="str">
        <f ca="1">IFERROR(__xludf.dummyfunction("""COMPUTED_VALUE"""),"Atletica Castello Firenze")</f>
        <v>Atletica Castello Firenze</v>
      </c>
      <c r="F33" s="10" t="str">
        <f ca="1">IFERROR(__xludf.dummyfunction("""COMPUTED_VALUE"""),"cat4")</f>
        <v>cat4</v>
      </c>
      <c r="G33" s="11">
        <f ca="1">IFERROR(__xludf.dummyfunction("""COMPUTED_VALUE"""),44024.0098820486)</f>
        <v>44024.009882048602</v>
      </c>
    </row>
    <row r="34" spans="1:7">
      <c r="A34" s="7">
        <v>32</v>
      </c>
      <c r="B34" s="8" t="str">
        <f ca="1">IFERROR(__xludf.dummyfunction("""COMPUTED_VALUE"""),"Piterà ")</f>
        <v xml:space="preserve">Piterà </v>
      </c>
      <c r="C34" s="8" t="str">
        <f ca="1">IFERROR(__xludf.dummyfunction("""COMPUTED_VALUE"""),"Roberto")</f>
        <v>Roberto</v>
      </c>
      <c r="D34" s="9">
        <f ca="1">IFERROR(__xludf.dummyfunction("""COMPUTED_VALUE"""),85)</f>
        <v>85</v>
      </c>
      <c r="E34" s="9" t="str">
        <f ca="1">IFERROR(__xludf.dummyfunction("""COMPUTED_VALUE"""),"Atletica Castello")</f>
        <v>Atletica Castello</v>
      </c>
      <c r="F34" s="10" t="str">
        <f ca="1">IFERROR(__xludf.dummyfunction("""COMPUTED_VALUE"""),"cat1")</f>
        <v>cat1</v>
      </c>
      <c r="G34" s="11">
        <f ca="1">IFERROR(__xludf.dummyfunction("""COMPUTED_VALUE"""),44024.0100295139)</f>
        <v>44024.010029513898</v>
      </c>
    </row>
    <row r="35" spans="1:7">
      <c r="A35" s="7">
        <v>33</v>
      </c>
      <c r="B35" s="8" t="str">
        <f ca="1">IFERROR(__xludf.dummyfunction("""COMPUTED_VALUE"""),"Barchielli")</f>
        <v>Barchielli</v>
      </c>
      <c r="C35" s="8" t="str">
        <f ca="1">IFERROR(__xludf.dummyfunction("""COMPUTED_VALUE"""),"Moreno")</f>
        <v>Moreno</v>
      </c>
      <c r="D35" s="9">
        <f ca="1">IFERROR(__xludf.dummyfunction("""COMPUTED_VALUE"""),93)</f>
        <v>93</v>
      </c>
      <c r="E35" s="9" t="str">
        <f ca="1">IFERROR(__xludf.dummyfunction("""COMPUTED_VALUE"""),"lepanchecastelquarto")</f>
        <v>lepanchecastelquarto</v>
      </c>
      <c r="F35" s="10" t="str">
        <f ca="1">IFERROR(__xludf.dummyfunction("""COMPUTED_VALUE"""),"cat3")</f>
        <v>cat3</v>
      </c>
      <c r="G35" s="11">
        <f ca="1">IFERROR(__xludf.dummyfunction("""COMPUTED_VALUE"""),44024.0100706018)</f>
        <v>44024.010070601798</v>
      </c>
    </row>
    <row r="36" spans="1:7">
      <c r="A36" s="7">
        <v>34</v>
      </c>
      <c r="B36" s="8" t="str">
        <f ca="1">IFERROR(__xludf.dummyfunction("""COMPUTED_VALUE"""),"Ghinassi")</f>
        <v>Ghinassi</v>
      </c>
      <c r="C36" s="8" t="str">
        <f ca="1">IFERROR(__xludf.dummyfunction("""COMPUTED_VALUE"""),"Graziano")</f>
        <v>Graziano</v>
      </c>
      <c r="D36" s="9">
        <f ca="1">IFERROR(__xludf.dummyfunction("""COMPUTED_VALUE"""),72)</f>
        <v>72</v>
      </c>
      <c r="E36" s="9" t="str">
        <f ca="1">IFERROR(__xludf.dummyfunction("""COMPUTED_VALUE"""),"GS Le Panche Castelquarto")</f>
        <v>GS Le Panche Castelquarto</v>
      </c>
      <c r="F36" s="10" t="str">
        <f ca="1">IFERROR(__xludf.dummyfunction("""COMPUTED_VALUE"""),"cat2")</f>
        <v>cat2</v>
      </c>
      <c r="G36" s="11">
        <f ca="1">IFERROR(__xludf.dummyfunction("""COMPUTED_VALUE"""),44024.0103668287)</f>
        <v>44024.010366828697</v>
      </c>
    </row>
    <row r="37" spans="1:7">
      <c r="A37" s="7">
        <v>35</v>
      </c>
      <c r="B37" s="8" t="str">
        <f ca="1">IFERROR(__xludf.dummyfunction("""COMPUTED_VALUE"""),"Pittalis")</f>
        <v>Pittalis</v>
      </c>
      <c r="C37" s="8" t="str">
        <f ca="1">IFERROR(__xludf.dummyfunction("""COMPUTED_VALUE"""),"Luigi")</f>
        <v>Luigi</v>
      </c>
      <c r="D37" s="9">
        <f ca="1">IFERROR(__xludf.dummyfunction("""COMPUTED_VALUE"""),35)</f>
        <v>35</v>
      </c>
      <c r="E37" s="9" t="str">
        <f ca="1">IFERROR(__xludf.dummyfunction("""COMPUTED_VALUE"""),"Atletica Castello")</f>
        <v>Atletica Castello</v>
      </c>
      <c r="F37" s="10" t="str">
        <f ca="1">IFERROR(__xludf.dummyfunction("""COMPUTED_VALUE"""),"cat2")</f>
        <v>cat2</v>
      </c>
      <c r="G37" s="11">
        <f ca="1">IFERROR(__xludf.dummyfunction("""COMPUTED_VALUE"""),44024.0107765972)</f>
        <v>44024.010776597199</v>
      </c>
    </row>
    <row r="38" spans="1:7">
      <c r="A38" s="7">
        <v>36</v>
      </c>
      <c r="B38" s="8" t="str">
        <f ca="1">IFERROR(__xludf.dummyfunction("""COMPUTED_VALUE"""),"Castagna")</f>
        <v>Castagna</v>
      </c>
      <c r="C38" s="8" t="str">
        <f ca="1">IFERROR(__xludf.dummyfunction("""COMPUTED_VALUE"""),"Vincenzo")</f>
        <v>Vincenzo</v>
      </c>
      <c r="D38" s="9">
        <f ca="1">IFERROR(__xludf.dummyfunction("""COMPUTED_VALUE"""),22)</f>
        <v>22</v>
      </c>
      <c r="E38" s="9" t="str">
        <f ca="1">IFERROR(__xludf.dummyfunction("""COMPUTED_VALUE"""),"Atletica Castello")</f>
        <v>Atletica Castello</v>
      </c>
      <c r="F38" s="10" t="str">
        <f ca="1">IFERROR(__xludf.dummyfunction("""COMPUTED_VALUE"""),"cat3")</f>
        <v>cat3</v>
      </c>
      <c r="G38" s="11">
        <f ca="1">IFERROR(__xludf.dummyfunction("""COMPUTED_VALUE"""),44024.0107785995)</f>
        <v>44024.010778599499</v>
      </c>
    </row>
    <row r="39" spans="1:7">
      <c r="A39" s="7">
        <v>37</v>
      </c>
      <c r="B39" s="8" t="str">
        <f ca="1">IFERROR(__xludf.dummyfunction("""COMPUTED_VALUE"""),"Fortezza ")</f>
        <v xml:space="preserve">Fortezza </v>
      </c>
      <c r="C39" s="8" t="str">
        <f ca="1">IFERROR(__xludf.dummyfunction("""COMPUTED_VALUE"""),"Ivan")</f>
        <v>Ivan</v>
      </c>
      <c r="D39" s="9">
        <f ca="1">IFERROR(__xludf.dummyfunction("""COMPUTED_VALUE"""),76)</f>
        <v>76</v>
      </c>
      <c r="E39" s="9" t="str">
        <f ca="1">IFERROR(__xludf.dummyfunction("""COMPUTED_VALUE"""),"Castelquartolepanche")</f>
        <v>Castelquartolepanche</v>
      </c>
      <c r="F39" s="10" t="str">
        <f ca="1">IFERROR(__xludf.dummyfunction("""COMPUTED_VALUE"""),"cat1")</f>
        <v>cat1</v>
      </c>
      <c r="G39" s="11">
        <f ca="1">IFERROR(__xludf.dummyfunction("""COMPUTED_VALUE"""),44024.0108725694)</f>
        <v>44024.010872569401</v>
      </c>
    </row>
    <row r="40" spans="1:7">
      <c r="A40" s="7">
        <v>38</v>
      </c>
      <c r="B40" s="8" t="str">
        <f ca="1">IFERROR(__xludf.dummyfunction("""COMPUTED_VALUE"""),"Gaspari")</f>
        <v>Gaspari</v>
      </c>
      <c r="C40" s="8" t="str">
        <f ca="1">IFERROR(__xludf.dummyfunction("""COMPUTED_VALUE"""),"Nicola")</f>
        <v>Nicola</v>
      </c>
      <c r="D40" s="9">
        <f ca="1">IFERROR(__xludf.dummyfunction("""COMPUTED_VALUE"""),63)</f>
        <v>63</v>
      </c>
      <c r="E40" s="9" t="str">
        <f ca="1">IFERROR(__xludf.dummyfunction("""COMPUTED_VALUE"""),"Atletica Castello")</f>
        <v>Atletica Castello</v>
      </c>
      <c r="F40" s="10" t="str">
        <f ca="1">IFERROR(__xludf.dummyfunction("""COMPUTED_VALUE"""),"cat1")</f>
        <v>cat1</v>
      </c>
      <c r="G40" s="11">
        <f ca="1">IFERROR(__xludf.dummyfunction("""COMPUTED_VALUE"""),44024.0108927662)</f>
        <v>44024.0108927662</v>
      </c>
    </row>
    <row r="41" spans="1:7">
      <c r="A41" s="7">
        <v>39</v>
      </c>
      <c r="B41" s="8" t="str">
        <f ca="1">IFERROR(__xludf.dummyfunction("""COMPUTED_VALUE"""),"Nobile")</f>
        <v>Nobile</v>
      </c>
      <c r="C41" s="8" t="str">
        <f ca="1">IFERROR(__xludf.dummyfunction("""COMPUTED_VALUE"""),"Antonio")</f>
        <v>Antonio</v>
      </c>
      <c r="D41" s="9">
        <f ca="1">IFERROR(__xludf.dummyfunction("""COMPUTED_VALUE"""),95)</f>
        <v>95</v>
      </c>
      <c r="E41" s="9" t="str">
        <f ca="1">IFERROR(__xludf.dummyfunction("""COMPUTED_VALUE"""),"Nuova Atletica Lastra a Signa")</f>
        <v>Nuova Atletica Lastra a Signa</v>
      </c>
      <c r="F41" s="10" t="str">
        <f ca="1">IFERROR(__xludf.dummyfunction("""COMPUTED_VALUE"""),"cat3")</f>
        <v>cat3</v>
      </c>
      <c r="G41" s="11">
        <f ca="1">IFERROR(__xludf.dummyfunction("""COMPUTED_VALUE"""),44024.0109899537)</f>
        <v>44024.010989953698</v>
      </c>
    </row>
    <row r="42" spans="1:7">
      <c r="A42" s="7">
        <v>40</v>
      </c>
      <c r="B42" s="8" t="str">
        <f ca="1">IFERROR(__xludf.dummyfunction("""COMPUTED_VALUE"""),"Gecchele")</f>
        <v>Gecchele</v>
      </c>
      <c r="C42" s="8" t="str">
        <f ca="1">IFERROR(__xludf.dummyfunction("""COMPUTED_VALUE"""),"Stefano")</f>
        <v>Stefano</v>
      </c>
      <c r="D42" s="9">
        <f ca="1">IFERROR(__xludf.dummyfunction("""COMPUTED_VALUE"""),96)</f>
        <v>96</v>
      </c>
      <c r="E42" s="9" t="str">
        <f ca="1">IFERROR(__xludf.dummyfunction("""COMPUTED_VALUE"""),"Le Panche")</f>
        <v>Le Panche</v>
      </c>
      <c r="F42" s="10" t="str">
        <f ca="1">IFERROR(__xludf.dummyfunction("""COMPUTED_VALUE"""),"cat2")</f>
        <v>cat2</v>
      </c>
      <c r="G42" s="11">
        <f ca="1">IFERROR(__xludf.dummyfunction("""COMPUTED_VALUE"""),44024.0112489699)</f>
        <v>44024.011248969902</v>
      </c>
    </row>
    <row r="43" spans="1:7">
      <c r="A43" s="7">
        <v>41</v>
      </c>
      <c r="B43" s="8" t="str">
        <f ca="1">IFERROR(__xludf.dummyfunction("""COMPUTED_VALUE"""),"Monciatti")</f>
        <v>Monciatti</v>
      </c>
      <c r="C43" s="8" t="str">
        <f ca="1">IFERROR(__xludf.dummyfunction("""COMPUTED_VALUE"""),"Manuela")</f>
        <v>Manuela</v>
      </c>
      <c r="D43" s="9">
        <f ca="1">IFERROR(__xludf.dummyfunction("""COMPUTED_VALUE"""),50)</f>
        <v>50</v>
      </c>
      <c r="E43" s="9" t="str">
        <f ca="1">IFERROR(__xludf.dummyfunction("""COMPUTED_VALUE"""),"Atletica Castello")</f>
        <v>Atletica Castello</v>
      </c>
      <c r="F43" s="10" t="str">
        <f ca="1">IFERROR(__xludf.dummyfunction("""COMPUTED_VALUE"""),"cat5")</f>
        <v>cat5</v>
      </c>
      <c r="G43" s="11">
        <f ca="1">IFERROR(__xludf.dummyfunction("""COMPUTED_VALUE"""),44024.0119513542)</f>
        <v>44024.011951354201</v>
      </c>
    </row>
    <row r="44" spans="1:7">
      <c r="A44" s="7">
        <v>42</v>
      </c>
      <c r="B44" s="8" t="str">
        <f ca="1">IFERROR(__xludf.dummyfunction("""COMPUTED_VALUE"""),"Gensini")</f>
        <v>Gensini</v>
      </c>
      <c r="C44" s="8" t="str">
        <f ca="1">IFERROR(__xludf.dummyfunction("""COMPUTED_VALUE"""),"Marco")</f>
        <v>Marco</v>
      </c>
      <c r="D44" s="9">
        <f ca="1">IFERROR(__xludf.dummyfunction("""COMPUTED_VALUE"""),88)</f>
        <v>88</v>
      </c>
      <c r="E44" s="9" t="str">
        <f ca="1">IFERROR(__xludf.dummyfunction("""COMPUTED_VALUE"""),"Atletica Castello")</f>
        <v>Atletica Castello</v>
      </c>
      <c r="F44" s="10" t="str">
        <f ca="1">IFERROR(__xludf.dummyfunction("""COMPUTED_VALUE"""),"cat3")</f>
        <v>cat3</v>
      </c>
      <c r="G44" s="11">
        <f ca="1">IFERROR(__xludf.dummyfunction("""COMPUTED_VALUE"""),44024.0121113542)</f>
        <v>44024.012111354197</v>
      </c>
    </row>
    <row r="45" spans="1:7">
      <c r="A45" s="7">
        <v>43</v>
      </c>
      <c r="B45" s="8" t="str">
        <f ca="1">IFERROR(__xludf.dummyfunction("""COMPUTED_VALUE"""),"Marrone ")</f>
        <v xml:space="preserve">Marrone </v>
      </c>
      <c r="C45" s="8" t="str">
        <f ca="1">IFERROR(__xludf.dummyfunction("""COMPUTED_VALUE"""),"Alessandra ")</f>
        <v xml:space="preserve">Alessandra </v>
      </c>
      <c r="D45" s="9">
        <f ca="1">IFERROR(__xludf.dummyfunction("""COMPUTED_VALUE"""),30)</f>
        <v>30</v>
      </c>
      <c r="E45" s="9" t="str">
        <f ca="1">IFERROR(__xludf.dummyfunction("""COMPUTED_VALUE"""),"Atletica Castello ")</f>
        <v xml:space="preserve">Atletica Castello </v>
      </c>
      <c r="F45" s="10" t="str">
        <f ca="1">IFERROR(__xludf.dummyfunction("""COMPUTED_VALUE"""),"cat5")</f>
        <v>cat5</v>
      </c>
      <c r="G45" s="11">
        <f ca="1">IFERROR(__xludf.dummyfunction("""COMPUTED_VALUE"""),44024.0126642824)</f>
        <v>44024.012664282403</v>
      </c>
    </row>
    <row r="46" spans="1:7">
      <c r="A46" s="7">
        <v>44</v>
      </c>
      <c r="B46" s="8" t="str">
        <f ca="1">IFERROR(__xludf.dummyfunction("""COMPUTED_VALUE"""),"Innocenti ")</f>
        <v xml:space="preserve">Innocenti </v>
      </c>
      <c r="C46" s="8" t="str">
        <f ca="1">IFERROR(__xludf.dummyfunction("""COMPUTED_VALUE"""),"Riccardo ")</f>
        <v xml:space="preserve">Riccardo </v>
      </c>
      <c r="D46" s="9">
        <f ca="1">IFERROR(__xludf.dummyfunction("""COMPUTED_VALUE"""),82)</f>
        <v>82</v>
      </c>
      <c r="E46" s="9" t="str">
        <f ca="1">IFERROR(__xludf.dummyfunction("""COMPUTED_VALUE"""),"Atletica Castello")</f>
        <v>Atletica Castello</v>
      </c>
      <c r="F46" s="10" t="str">
        <f ca="1">IFERROR(__xludf.dummyfunction("""COMPUTED_VALUE"""),"cat2")</f>
        <v>cat2</v>
      </c>
      <c r="G46" s="11">
        <f ca="1">IFERROR(__xludf.dummyfunction("""COMPUTED_VALUE"""),44024.0127310532)</f>
        <v>44024.012731053197</v>
      </c>
    </row>
    <row r="47" spans="1:7">
      <c r="A47" s="7">
        <v>45</v>
      </c>
      <c r="B47" s="8" t="str">
        <f ca="1">IFERROR(__xludf.dummyfunction("""COMPUTED_VALUE"""),"Sabatini ")</f>
        <v xml:space="preserve">Sabatini </v>
      </c>
      <c r="C47" s="8" t="str">
        <f ca="1">IFERROR(__xludf.dummyfunction("""COMPUTED_VALUE"""),"Letizia")</f>
        <v>Letizia</v>
      </c>
      <c r="D47" s="9">
        <f ca="1">IFERROR(__xludf.dummyfunction("""COMPUTED_VALUE"""),36)</f>
        <v>36</v>
      </c>
      <c r="E47" s="9" t="str">
        <f ca="1">IFERROR(__xludf.dummyfunction("""COMPUTED_VALUE"""),"Atletica Castello")</f>
        <v>Atletica Castello</v>
      </c>
      <c r="F47" s="10" t="str">
        <f ca="1">IFERROR(__xludf.dummyfunction("""COMPUTED_VALUE"""),"cat5")</f>
        <v>cat5</v>
      </c>
      <c r="G47" s="11">
        <f ca="1">IFERROR(__xludf.dummyfunction("""COMPUTED_VALUE"""),44024.0129526273)</f>
        <v>44024.012952627301</v>
      </c>
    </row>
    <row r="48" spans="1:7">
      <c r="A48" s="7">
        <v>46</v>
      </c>
      <c r="B48" s="8" t="str">
        <f ca="1">IFERROR(__xludf.dummyfunction("""COMPUTED_VALUE"""),"Bartoli")</f>
        <v>Bartoli</v>
      </c>
      <c r="C48" s="8" t="str">
        <f ca="1">IFERROR(__xludf.dummyfunction("""COMPUTED_VALUE"""),"Lorenzo")</f>
        <v>Lorenzo</v>
      </c>
      <c r="D48" s="9">
        <f ca="1">IFERROR(__xludf.dummyfunction("""COMPUTED_VALUE"""),2)</f>
        <v>2</v>
      </c>
      <c r="E48" s="9" t="str">
        <f ca="1">IFERROR(__xludf.dummyfunction("""COMPUTED_VALUE"""),"Atletica Castello")</f>
        <v>Atletica Castello</v>
      </c>
      <c r="F48" s="10" t="str">
        <f ca="1">IFERROR(__xludf.dummyfunction("""COMPUTED_VALUE"""),"cat1")</f>
        <v>cat1</v>
      </c>
      <c r="G48" s="11">
        <f ca="1">IFERROR(__xludf.dummyfunction("""COMPUTED_VALUE"""),44024.0130291435)</f>
        <v>44024.013029143498</v>
      </c>
    </row>
    <row r="49" spans="1:7">
      <c r="A49" s="7">
        <v>47</v>
      </c>
      <c r="B49" s="8" t="str">
        <f ca="1">IFERROR(__xludf.dummyfunction("""COMPUTED_VALUE"""),"Sansone")</f>
        <v>Sansone</v>
      </c>
      <c r="C49" s="8" t="str">
        <f ca="1">IFERROR(__xludf.dummyfunction("""COMPUTED_VALUE"""),"Massimo")</f>
        <v>Massimo</v>
      </c>
      <c r="D49" s="9">
        <f ca="1">IFERROR(__xludf.dummyfunction("""COMPUTED_VALUE"""),91)</f>
        <v>91</v>
      </c>
      <c r="E49" s="9" t="str">
        <f ca="1">IFERROR(__xludf.dummyfunction("""COMPUTED_VALUE"""),"A.S.D. Atletica Calenzano")</f>
        <v>A.S.D. Atletica Calenzano</v>
      </c>
      <c r="F49" s="10" t="str">
        <f ca="1">IFERROR(__xludf.dummyfunction("""COMPUTED_VALUE"""),"cat1")</f>
        <v>cat1</v>
      </c>
      <c r="G49" s="11">
        <f ca="1">IFERROR(__xludf.dummyfunction("""COMPUTED_VALUE"""),44024.0137541898)</f>
        <v>44024.0137541898</v>
      </c>
    </row>
    <row r="50" spans="1:7">
      <c r="A50" s="7">
        <v>48</v>
      </c>
      <c r="B50" s="8" t="str">
        <f ca="1">IFERROR(__xludf.dummyfunction("""COMPUTED_VALUE"""),"Arezzo ")</f>
        <v xml:space="preserve">Arezzo </v>
      </c>
      <c r="C50" s="8" t="str">
        <f ca="1">IFERROR(__xludf.dummyfunction("""COMPUTED_VALUE"""),"Lucia ")</f>
        <v xml:space="preserve">Lucia </v>
      </c>
      <c r="D50" s="9">
        <f ca="1">IFERROR(__xludf.dummyfunction("""COMPUTED_VALUE"""),81)</f>
        <v>81</v>
      </c>
      <c r="E50" s="9" t="str">
        <f ca="1">IFERROR(__xludf.dummyfunction("""COMPUTED_VALUE"""),"Atletica Castello ")</f>
        <v xml:space="preserve">Atletica Castello </v>
      </c>
      <c r="F50" s="10" t="str">
        <f ca="1">IFERROR(__xludf.dummyfunction("""COMPUTED_VALUE"""),"cat4")</f>
        <v>cat4</v>
      </c>
      <c r="G50" s="11">
        <f ca="1">IFERROR(__xludf.dummyfunction("""COMPUTED_VALUE"""),44024.0137746181)</f>
        <v>44024.013774618099</v>
      </c>
    </row>
    <row r="51" spans="1:7">
      <c r="A51" s="7">
        <v>49</v>
      </c>
      <c r="B51" s="8" t="str">
        <f ca="1">IFERROR(__xludf.dummyfunction("""COMPUTED_VALUE"""),"Galati")</f>
        <v>Galati</v>
      </c>
      <c r="C51" s="8" t="str">
        <f ca="1">IFERROR(__xludf.dummyfunction("""COMPUTED_VALUE"""),"Assuntina ")</f>
        <v xml:space="preserve">Assuntina </v>
      </c>
      <c r="D51" s="9">
        <f ca="1">IFERROR(__xludf.dummyfunction("""COMPUTED_VALUE"""),20)</f>
        <v>20</v>
      </c>
      <c r="E51" s="9" t="str">
        <f ca="1">IFERROR(__xludf.dummyfunction("""COMPUTED_VALUE"""),"Atletica Castello")</f>
        <v>Atletica Castello</v>
      </c>
      <c r="F51" s="10" t="str">
        <f ca="1">IFERROR(__xludf.dummyfunction("""COMPUTED_VALUE"""),"cat4")</f>
        <v>cat4</v>
      </c>
      <c r="G51" s="11">
        <f ca="1">IFERROR(__xludf.dummyfunction("""COMPUTED_VALUE"""),44024.0143885648)</f>
        <v>44024.014388564799</v>
      </c>
    </row>
    <row r="52" spans="1:7">
      <c r="A52" s="7">
        <v>50</v>
      </c>
      <c r="B52" s="8" t="str">
        <f ca="1">IFERROR(__xludf.dummyfunction("""COMPUTED_VALUE"""),"Sordi")</f>
        <v>Sordi</v>
      </c>
      <c r="C52" s="8" t="str">
        <f ca="1">IFERROR(__xludf.dummyfunction("""COMPUTED_VALUE"""),"Roberto")</f>
        <v>Roberto</v>
      </c>
      <c r="D52" s="9">
        <f ca="1">IFERROR(__xludf.dummyfunction("""COMPUTED_VALUE"""),73)</f>
        <v>73</v>
      </c>
      <c r="E52" s="9" t="str">
        <f ca="1">IFERROR(__xludf.dummyfunction("""COMPUTED_VALUE"""),"Atl. Calenzano")</f>
        <v>Atl. Calenzano</v>
      </c>
      <c r="F52" s="10" t="str">
        <f ca="1">IFERROR(__xludf.dummyfunction("""COMPUTED_VALUE"""),"cat3")</f>
        <v>cat3</v>
      </c>
      <c r="G52" s="11">
        <f ca="1">IFERROR(__xludf.dummyfunction("""COMPUTED_VALUE"""),44024.0151011227)</f>
        <v>44024.015101122699</v>
      </c>
    </row>
    <row r="53" spans="1:7">
      <c r="A53" s="7">
        <v>51</v>
      </c>
      <c r="B53" s="8" t="str">
        <f ca="1">IFERROR(__xludf.dummyfunction("""COMPUTED_VALUE"""),"Boi")</f>
        <v>Boi</v>
      </c>
      <c r="C53" s="8" t="str">
        <f ca="1">IFERROR(__xludf.dummyfunction("""COMPUTED_VALUE"""),"Rosa")</f>
        <v>Rosa</v>
      </c>
      <c r="D53" s="9">
        <f ca="1">IFERROR(__xludf.dummyfunction("""COMPUTED_VALUE"""),4)</f>
        <v>4</v>
      </c>
      <c r="E53" s="9" t="str">
        <f ca="1">IFERROR(__xludf.dummyfunction("""COMPUTED_VALUE"""),"Atletica Castello")</f>
        <v>Atletica Castello</v>
      </c>
      <c r="F53" s="10" t="str">
        <f ca="1">IFERROR(__xludf.dummyfunction("""COMPUTED_VALUE"""),"cat6")</f>
        <v>cat6</v>
      </c>
      <c r="G53" s="11">
        <f ca="1">IFERROR(__xludf.dummyfunction("""COMPUTED_VALUE"""),44024.0168868056)</f>
        <v>44024.016886805599</v>
      </c>
    </row>
    <row r="54" spans="1:7">
      <c r="A54" s="7">
        <v>52</v>
      </c>
      <c r="B54" s="8" t="str">
        <f ca="1">IFERROR(__xludf.dummyfunction("""COMPUTED_VALUE"""),"Ganci")</f>
        <v>Ganci</v>
      </c>
      <c r="C54" s="8" t="str">
        <f ca="1">IFERROR(__xludf.dummyfunction("""COMPUTED_VALUE"""),"Vincenzo")</f>
        <v>Vincenzo</v>
      </c>
      <c r="D54" s="9">
        <f ca="1">IFERROR(__xludf.dummyfunction("""COMPUTED_VALUE"""),77)</f>
        <v>77</v>
      </c>
      <c r="E54" s="9" t="str">
        <f ca="1">IFERROR(__xludf.dummyfunction("""COMPUTED_VALUE"""),"Gs le panche castelquarto")</f>
        <v>Gs le panche castelquarto</v>
      </c>
      <c r="F54" s="10" t="str">
        <f ca="1">IFERROR(__xludf.dummyfunction("""COMPUTED_VALUE"""),"cat3")</f>
        <v>cat3</v>
      </c>
      <c r="G54" s="11">
        <f ca="1">IFERROR(__xludf.dummyfunction("""COMPUTED_VALUE"""),44024.0174116204)</f>
        <v>44024.0174116204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dcterms:created xsi:type="dcterms:W3CDTF">2020-07-12T13:04:54Z</dcterms:created>
  <dcterms:modified xsi:type="dcterms:W3CDTF">2020-07-12T13:05:12Z</dcterms:modified>
</cp:coreProperties>
</file>